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2opt-my.sharepoint.com/personal/company_co2opt_com/Documents/co2opt 1TB/New_structure/co2opt_documents/Sales/Customer/Onboarding/"/>
    </mc:Choice>
  </mc:AlternateContent>
  <xr:revisionPtr revIDLastSave="174" documentId="8_{8C70AC13-CDB3-B441-ABA2-72C88346369C}" xr6:coauthVersionLast="47" xr6:coauthVersionMax="47" xr10:uidLastSave="{B71CCEC0-DC75-9149-B484-25BAC0D33F53}"/>
  <bookViews>
    <workbookView xWindow="20" yWindow="600" windowWidth="28800" windowHeight="17400" activeTab="2" xr2:uid="{83FE3D1A-5620-024E-845A-AD5C9C6D826A}"/>
  </bookViews>
  <sheets>
    <sheet name="Fragen" sheetId="1" r:id="rId1"/>
    <sheet name="ROI Rechner" sheetId="2" r:id="rId2"/>
    <sheet name="Wasserfall Graph" sheetId="4" r:id="rId3"/>
  </sheets>
  <definedNames>
    <definedName name="_xlnm._FilterDatabase" localSheetId="0" hidden="1">Fragen!$A$1:$F$22</definedName>
    <definedName name="_xlchart.v1.0" hidden="1">'Wasserfall Graph'!$A$2:$A$10</definedName>
    <definedName name="_xlchart.v1.1" hidden="1">'Wasserfall Graph'!$B$1</definedName>
    <definedName name="_xlchart.v1.2" hidden="1">'Wasserfall Graph'!$B$2:$B$10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2" l="1"/>
  <c r="B4" i="2" l="1"/>
  <c r="B6" i="2"/>
  <c r="G11" i="2" s="1"/>
  <c r="B23" i="2"/>
  <c r="B9" i="4" s="1"/>
  <c r="C2" i="2"/>
  <c r="M20" i="2" l="1"/>
  <c r="E20" i="2"/>
  <c r="F20" i="2"/>
  <c r="G20" i="2"/>
  <c r="H20" i="2"/>
  <c r="I20" i="2"/>
  <c r="J20" i="2"/>
  <c r="K20" i="2"/>
  <c r="D20" i="2"/>
  <c r="L20" i="2"/>
  <c r="B21" i="2"/>
  <c r="H11" i="2"/>
  <c r="I11" i="2"/>
  <c r="J11" i="2"/>
  <c r="K11" i="2"/>
  <c r="D11" i="2"/>
  <c r="L11" i="2"/>
  <c r="E11" i="2"/>
  <c r="M11" i="2"/>
  <c r="F11" i="2"/>
  <c r="C10" i="2"/>
  <c r="M12" i="2"/>
  <c r="M19" i="2" s="1"/>
  <c r="F12" i="2"/>
  <c r="F19" i="2" s="1"/>
  <c r="B6" i="4" s="1"/>
  <c r="G12" i="2"/>
  <c r="H12" i="2"/>
  <c r="I12" i="2"/>
  <c r="J12" i="2"/>
  <c r="K12" i="2"/>
  <c r="D12" i="2"/>
  <c r="L12" i="2"/>
  <c r="E12" i="2"/>
  <c r="E19" i="2" s="1"/>
  <c r="B3" i="4" l="1"/>
  <c r="B2" i="4"/>
  <c r="M14" i="2"/>
  <c r="M15" i="2" s="1"/>
  <c r="E13" i="2"/>
  <c r="D13" i="2"/>
  <c r="H13" i="2"/>
  <c r="M13" i="2"/>
  <c r="J13" i="2"/>
  <c r="L13" i="2"/>
  <c r="I13" i="2"/>
  <c r="K13" i="2"/>
  <c r="G13" i="2"/>
  <c r="J14" i="2"/>
  <c r="J15" i="2" s="1"/>
  <c r="J19" i="2"/>
  <c r="I14" i="2"/>
  <c r="I15" i="2" s="1"/>
  <c r="I19" i="2"/>
  <c r="H14" i="2"/>
  <c r="H15" i="2" s="1"/>
  <c r="H19" i="2"/>
  <c r="G14" i="2"/>
  <c r="G15" i="2" s="1"/>
  <c r="G19" i="2"/>
  <c r="F14" i="2"/>
  <c r="F15" i="2" s="1"/>
  <c r="L14" i="2"/>
  <c r="L15" i="2" s="1"/>
  <c r="L19" i="2"/>
  <c r="E14" i="2"/>
  <c r="E15" i="2" s="1"/>
  <c r="D14" i="2"/>
  <c r="D15" i="2" s="1"/>
  <c r="D19" i="2"/>
  <c r="K14" i="2"/>
  <c r="K15" i="2" s="1"/>
  <c r="K19" i="2"/>
  <c r="F13" i="2"/>
  <c r="B24" i="2" l="1"/>
  <c r="B7" i="4"/>
  <c r="B4" i="4"/>
  <c r="B8" i="4" l="1"/>
  <c r="C9" i="4" s="1"/>
  <c r="D10" i="4" s="1"/>
  <c r="B5" i="4"/>
  <c r="B10" i="4" s="1"/>
</calcChain>
</file>

<file path=xl/sharedStrings.xml><?xml version="1.0" encoding="utf-8"?>
<sst xmlns="http://schemas.openxmlformats.org/spreadsheetml/2006/main" count="78" uniqueCount="77">
  <si>
    <t>Prio</t>
  </si>
  <si>
    <t>Frage</t>
  </si>
  <si>
    <t>Wie viele eigene Fahrzeuge Truck?</t>
  </si>
  <si>
    <t>Hiermit füllt sich die Berechnung</t>
  </si>
  <si>
    <t>Wie viele eigene Fahrzeuge Trailer?</t>
  </si>
  <si>
    <t>Wie hoch ist die Laufleistung Truck?</t>
  </si>
  <si>
    <t>Wie wird der Reifenservice durchgeführt?</t>
  </si>
  <si>
    <t>Eigene Werkstatt</t>
  </si>
  <si>
    <t>Service Provider</t>
  </si>
  <si>
    <t>Mix</t>
  </si>
  <si>
    <t>KM-Vertrag</t>
  </si>
  <si>
    <t>Telematik bereits angeschlossen</t>
  </si>
  <si>
    <t>Welche Reifenhandelskette ist die favorisierte?</t>
  </si>
  <si>
    <t>Krone Trailer Telematik</t>
  </si>
  <si>
    <t>Welche Telematik haben Sie in den LKWs verbaut?</t>
  </si>
  <si>
    <t>Webfleet</t>
  </si>
  <si>
    <t>Welche Telematik haben Sie in den Trailern verbaut?</t>
  </si>
  <si>
    <t>Fleetboard</t>
  </si>
  <si>
    <t>Wie hoch ist ihr durchschnittlicher Sprit Verbrauch?</t>
  </si>
  <si>
    <t>Sensolus</t>
  </si>
  <si>
    <t>Wie hoch ist die Laufleistung Trailer?</t>
  </si>
  <si>
    <t>RIO</t>
  </si>
  <si>
    <t>Welche Reifengröße LKW?</t>
  </si>
  <si>
    <t>YellowFox</t>
  </si>
  <si>
    <t>Welche Reifengröße Trailer?</t>
  </si>
  <si>
    <t>Route42</t>
  </si>
  <si>
    <t>Welche Reifenmarken fahren Sie überwiegend?</t>
  </si>
  <si>
    <t xml:space="preserve">Fahren Sie runderneuerte Reifen? </t>
  </si>
  <si>
    <t>Fahren Sie international oder national?</t>
  </si>
  <si>
    <t>Was ist der größte Schmerzpunkt mit dem Thema Reifenmanagement?</t>
  </si>
  <si>
    <t>Nutzen Sie für das Reifenmanagement bereits eine Software?</t>
  </si>
  <si>
    <t>Wer ist bei Ihnen für das Reifenmanagement verantwortlich?</t>
  </si>
  <si>
    <t>Welche LKW-Marke fahren Sie überwiegend?</t>
  </si>
  <si>
    <t>Welche Trailer-Marke fahren Sie überwiegend?</t>
  </si>
  <si>
    <t>Welches Produkt der Reifenmarke?</t>
  </si>
  <si>
    <t>Fahren Sie heiß- / kaltrunderneuert?</t>
  </si>
  <si>
    <t>Auf welchen Achsen fahren Sie runderneuerte?</t>
  </si>
  <si>
    <t>Mehrkosten Reifen in € pro Reifen pro Jahr</t>
  </si>
  <si>
    <t>CO2OPT</t>
  </si>
  <si>
    <t>Laufleistung pro Jahr in KM</t>
  </si>
  <si>
    <t>Arbeitstage pro Jahr</t>
  </si>
  <si>
    <t>ca. Verbrauch Diesel in l/100km</t>
  </si>
  <si>
    <t>ca. Dieselpreis in €</t>
  </si>
  <si>
    <t>Mehrkosten</t>
  </si>
  <si>
    <t>Einsparungen pro 100 km</t>
  </si>
  <si>
    <t>Einsparungen pro Tag</t>
  </si>
  <si>
    <t>Amortisation nach Km</t>
  </si>
  <si>
    <t>Amortisation nach Werktagen</t>
  </si>
  <si>
    <t>Amortisation nach Monaten (18,3 Werktage pro Monat)</t>
  </si>
  <si>
    <t>Dieselkosten Fuhrpark</t>
  </si>
  <si>
    <t>Gesamteinsparungen Diesel nach Kosten für alle Fahrzeuge</t>
  </si>
  <si>
    <t>Gesamteinsparungen CO2 nach Kosten für alle Fahrzeuge in tonnen</t>
  </si>
  <si>
    <t>Reifenkosten</t>
  </si>
  <si>
    <t>Kosten CO2OPT</t>
  </si>
  <si>
    <t>Die Werte in die Email eintragen</t>
  </si>
  <si>
    <t>https://savings.co2opt.com</t>
  </si>
  <si>
    <t>Spedion</t>
  </si>
  <si>
    <t>Schmitz Cargobull Trailer Telematik</t>
  </si>
  <si>
    <t>Platform Science</t>
  </si>
  <si>
    <t>Transics / ZF SCALAR</t>
  </si>
  <si>
    <t>Idem</t>
  </si>
  <si>
    <t>Volvo</t>
  </si>
  <si>
    <t>Scania</t>
  </si>
  <si>
    <t>Renault</t>
  </si>
  <si>
    <t>Samsara</t>
  </si>
  <si>
    <t>MapOn</t>
  </si>
  <si>
    <t xml:space="preserve">Kraftstoffeinsparung in % </t>
  </si>
  <si>
    <t>Dieselkosten</t>
  </si>
  <si>
    <t>Einsparungen Diesel</t>
  </si>
  <si>
    <t>Einsparungen Reifenkosten</t>
  </si>
  <si>
    <t>Einsparungen Panne-/Unterwegskosten</t>
  </si>
  <si>
    <t>Panne-/Unterwegskosten</t>
  </si>
  <si>
    <t>Einsparungen in €</t>
  </si>
  <si>
    <t>CO2OPT Gebühren</t>
  </si>
  <si>
    <t>Gesamtsumme aktuell</t>
  </si>
  <si>
    <t>Gesamtsumme nach Ersparnisse inkl. CO2OPT Gebühren</t>
  </si>
  <si>
    <t>FROM CUSTOMER INPUT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</si>
</sst>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\ &quot;€&quot;_-;\-* #,##0\ &quot;€&quot;_-;_-* &quot;-&quot;??\ &quot;€&quot;_-;_-@_-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44" fontId="0" fillId="0" borderId="0" xfId="2" applyFont="1"/>
    <xf numFmtId="0" fontId="2" fillId="2" borderId="0" xfId="0" applyFont="1" applyFill="1"/>
    <xf numFmtId="6" fontId="0" fillId="0" borderId="0" xfId="0" applyNumberFormat="1"/>
    <xf numFmtId="44" fontId="0" fillId="0" borderId="0" xfId="2" applyFont="1" applyFill="1"/>
    <xf numFmtId="164" fontId="0" fillId="0" borderId="0" xfId="1" applyNumberFormat="1" applyFont="1" applyFill="1"/>
    <xf numFmtId="0" fontId="0" fillId="3" borderId="0" xfId="0" applyFill="1"/>
    <xf numFmtId="165" fontId="0" fillId="0" borderId="0" xfId="3" applyNumberFormat="1" applyFont="1"/>
    <xf numFmtId="0" fontId="5" fillId="3" borderId="0" xfId="0" applyFont="1" applyFill="1"/>
    <xf numFmtId="0" fontId="4" fillId="3" borderId="0" xfId="0" applyFont="1" applyFill="1"/>
    <xf numFmtId="0" fontId="0" fillId="4" borderId="0" xfId="0" applyFill="1"/>
    <xf numFmtId="164" fontId="0" fillId="4" borderId="0" xfId="1" applyNumberFormat="1" applyFont="1" applyFill="1"/>
    <xf numFmtId="0" fontId="6" fillId="0" borderId="1" xfId="0" applyFont="1" applyBorder="1"/>
    <xf numFmtId="0" fontId="0" fillId="0" borderId="2" xfId="0" applyBorder="1"/>
    <xf numFmtId="0" fontId="0" fillId="0" borderId="3" xfId="0" applyBorder="1"/>
    <xf numFmtId="0" fontId="8" fillId="0" borderId="0" xfId="4"/>
    <xf numFmtId="166" fontId="0" fillId="0" borderId="0" xfId="2" applyNumberFormat="1" applyFont="1"/>
    <xf numFmtId="166" fontId="0" fillId="0" borderId="0" xfId="0" applyNumberFormat="1"/>
    <xf numFmtId="9" fontId="0" fillId="0" borderId="0" xfId="0" applyNumberFormat="1"/>
    <xf numFmtId="0" fontId="0" fillId="0" borderId="4" xfId="0" applyBorder="1"/>
    <xf numFmtId="0" fontId="0" fillId="0" borderId="5" xfId="0" applyBorder="1"/>
    <xf numFmtId="9" fontId="0" fillId="0" borderId="5" xfId="3" applyFont="1" applyBorder="1"/>
    <xf numFmtId="9" fontId="3" fillId="0" borderId="5" xfId="3" applyFont="1" applyBorder="1"/>
    <xf numFmtId="9" fontId="0" fillId="0" borderId="6" xfId="3" applyFont="1" applyBorder="1"/>
    <xf numFmtId="0" fontId="0" fillId="0" borderId="7" xfId="0" applyBorder="1"/>
    <xf numFmtId="0" fontId="0" fillId="0" borderId="0" xfId="0" applyBorder="1"/>
    <xf numFmtId="44" fontId="0" fillId="0" borderId="0" xfId="0" applyNumberFormat="1" applyBorder="1"/>
    <xf numFmtId="0" fontId="0" fillId="0" borderId="8" xfId="0" applyBorder="1"/>
    <xf numFmtId="44" fontId="0" fillId="0" borderId="0" xfId="2" applyFont="1" applyBorder="1"/>
    <xf numFmtId="44" fontId="0" fillId="0" borderId="8" xfId="2" applyFont="1" applyBorder="1"/>
    <xf numFmtId="1" fontId="0" fillId="0" borderId="0" xfId="0" applyNumberFormat="1" applyBorder="1"/>
    <xf numFmtId="1" fontId="0" fillId="0" borderId="8" xfId="0" applyNumberFormat="1" applyBorder="1"/>
    <xf numFmtId="0" fontId="7" fillId="0" borderId="0" xfId="0" applyFont="1" applyBorder="1"/>
    <xf numFmtId="1" fontId="0" fillId="0" borderId="0" xfId="2" applyNumberFormat="1" applyFont="1" applyBorder="1"/>
    <xf numFmtId="1" fontId="0" fillId="0" borderId="8" xfId="2" applyNumberFormat="1" applyFont="1" applyBorder="1"/>
    <xf numFmtId="0" fontId="0" fillId="0" borderId="9" xfId="0" applyBorder="1"/>
    <xf numFmtId="0" fontId="0" fillId="0" borderId="10" xfId="0" applyBorder="1"/>
    <xf numFmtId="2" fontId="0" fillId="0" borderId="10" xfId="0" applyNumberFormat="1" applyBorder="1"/>
    <xf numFmtId="2" fontId="0" fillId="0" borderId="11" xfId="0" applyNumberFormat="1" applyBorder="1"/>
    <xf numFmtId="0" fontId="0" fillId="0" borderId="0" xfId="0" applyFill="1"/>
    <xf numFmtId="164" fontId="0" fillId="0" borderId="0" xfId="0" applyNumberFormat="1" applyFill="1"/>
    <xf numFmtId="44" fontId="0" fillId="3" borderId="0" xfId="2" applyFont="1" applyFill="1"/>
    <xf numFmtId="0" fontId="0" fillId="5" borderId="0" xfId="0" applyFill="1"/>
    <xf numFmtId="164" fontId="0" fillId="5" borderId="0" xfId="0" applyNumberFormat="1" applyFill="1"/>
    <xf numFmtId="0" fontId="0" fillId="6" borderId="4" xfId="0" applyFill="1" applyBorder="1"/>
    <xf numFmtId="0" fontId="0" fillId="6" borderId="7" xfId="0" applyFill="1" applyBorder="1"/>
    <xf numFmtId="0" fontId="0" fillId="6" borderId="9" xfId="0" applyFill="1" applyBorder="1"/>
    <xf numFmtId="6" fontId="3" fillId="6" borderId="11" xfId="0" applyNumberFormat="1" applyFont="1" applyFill="1" applyBorder="1"/>
    <xf numFmtId="166" fontId="3" fillId="6" borderId="6" xfId="2" applyNumberFormat="1" applyFont="1" applyFill="1" applyBorder="1"/>
    <xf numFmtId="166" fontId="3" fillId="6" borderId="8" xfId="0" applyNumberFormat="1" applyFont="1" applyFill="1" applyBorder="1"/>
    <xf numFmtId="166" fontId="0" fillId="5" borderId="0" xfId="0" applyNumberFormat="1" applyFill="1"/>
    <xf numFmtId="166" fontId="3" fillId="5" borderId="0" xfId="0" applyNumberFormat="1" applyFont="1" applyFill="1"/>
    <xf numFmtId="0" fontId="3" fillId="0" borderId="0" xfId="0" applyFont="1" applyBorder="1"/>
    <xf numFmtId="44" fontId="3" fillId="0" borderId="0" xfId="2" applyFont="1" applyBorder="1"/>
    <xf numFmtId="1" fontId="3" fillId="0" borderId="0" xfId="0" applyNumberFormat="1" applyFont="1" applyBorder="1"/>
    <xf numFmtId="1" fontId="3" fillId="0" borderId="0" xfId="2" applyNumberFormat="1" applyFont="1" applyBorder="1"/>
    <xf numFmtId="2" fontId="3" fillId="0" borderId="10" xfId="0" applyNumberFormat="1" applyFont="1" applyBorder="1"/>
    <xf numFmtId="164" fontId="3" fillId="5" borderId="0" xfId="0" applyNumberFormat="1" applyFont="1" applyFill="1"/>
  </cellXfs>
  <cellStyles count="5">
    <cellStyle name="Komma" xfId="1" builtinId="3"/>
    <cellStyle name="Link" xfId="4" builtinId="8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>
      <cx:tx>
        <cx:txData>
          <cx:v>Überblick Einsparungen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de-DE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</a:rPr>
            <a:t>Überblick Einsparungen</a:t>
          </a:r>
        </a:p>
      </cx:txPr>
    </cx:title>
    <cx:plotArea>
      <cx:plotAreaRegion>
        <cx:series layoutId="waterfall" uniqueId="{6E218119-EF01-D546-99B9-47086A243DA5}">
          <cx:tx>
            <cx:txData>
              <cx:f>_xlchart.v1.1</cx:f>
              <cx:v>Einsparungen in €</cx:v>
            </cx:txData>
          </cx:tx>
          <cx:dataPt idx="3"/>
          <cx:dataLabels pos="outEnd">
            <cx:visibility seriesName="0" categoryName="0" value="1"/>
          </cx:dataLabels>
          <cx:dataId val="0"/>
          <cx:layoutPr>
            <cx:subtotals>
              <cx:idx val="3"/>
              <cx:idx val="8"/>
            </cx:subtotals>
          </cx:layoutPr>
        </cx:series>
      </cx:plotAreaRegion>
      <cx:axis id="0">
        <cx:catScaling gapWidth="0.5"/>
        <cx:tickLabels/>
      </cx:axis>
      <cx:axis id="1">
        <cx:valScaling/>
        <cx:majorGridlines/>
        <cx:tickLabels/>
      </cx:axis>
    </cx:plotArea>
    <cx:legend pos="t" align="ctr" overlay="0"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endParaRPr lang="de-DE" sz="900" b="0" i="0" u="none" strike="noStrike" baseline="0">
            <a:solidFill>
              <a:sysClr val="windowText" lastClr="000000">
                <a:lumMod val="65000"/>
                <a:lumOff val="35000"/>
              </a:sysClr>
            </a:solidFill>
            <a:latin typeface="Calibri" panose="020F0502020204030204"/>
          </a:endParaRPr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9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355600</xdr:colOff>
      <xdr:row>1</xdr:row>
      <xdr:rowOff>50800</xdr:rowOff>
    </xdr:from>
    <xdr:to>
      <xdr:col>16</xdr:col>
      <xdr:colOff>88900</xdr:colOff>
      <xdr:row>30</xdr:row>
      <xdr:rowOff>152400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Diagramm 1">
              <a:extLst>
                <a:ext uri="{FF2B5EF4-FFF2-40B4-BE49-F238E27FC236}">
                  <a16:creationId xmlns:a16="http://schemas.microsoft.com/office/drawing/2014/main" id="{0BDF80B9-E8AE-3A3C-4169-41B2F9D0A2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162800" y="254000"/>
              <a:ext cx="9639300" cy="59944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e-DE" sz="1100"/>
                <a:t>Dieses Diagramm ist in Ihrer Version von Excel nicht verfügbar.
Wenn Sie diese Form bearbeiten oder diese Arbeitsmappe in einem anderen Dateiformat speichern, wird das Diagramm dauerhaft beschädigt.</a:t>
              </a:r>
            </a:p>
          </xdr:txBody>
        </xdr:sp>
      </mc:Fallback>
    </mc:AlternateContent>
    <xdr:clientData/>
  </xdr:twoCellAnchor>
  <xdr:twoCellAnchor>
    <xdr:from>
      <xdr:col>11</xdr:col>
      <xdr:colOff>393700</xdr:colOff>
      <xdr:row>5</xdr:row>
      <xdr:rowOff>25400</xdr:rowOff>
    </xdr:from>
    <xdr:to>
      <xdr:col>13</xdr:col>
      <xdr:colOff>342900</xdr:colOff>
      <xdr:row>8</xdr:row>
      <xdr:rowOff>165100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0A4A0B3C-77FE-A3C7-24C6-ABDDC0FE94C6}"/>
            </a:ext>
          </a:extLst>
        </xdr:cNvPr>
        <xdr:cNvSpPr/>
      </xdr:nvSpPr>
      <xdr:spPr>
        <a:xfrm>
          <a:off x="12979400" y="1041400"/>
          <a:ext cx="1600200" cy="7493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11</xdr:col>
      <xdr:colOff>152400</xdr:colOff>
      <xdr:row>10</xdr:row>
      <xdr:rowOff>177800</xdr:rowOff>
    </xdr:from>
    <xdr:to>
      <xdr:col>14</xdr:col>
      <xdr:colOff>0</xdr:colOff>
      <xdr:row>14</xdr:row>
      <xdr:rowOff>63500</xdr:rowOff>
    </xdr:to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B9D940C3-588F-79B7-8CF3-55530B01B09D}"/>
            </a:ext>
          </a:extLst>
        </xdr:cNvPr>
        <xdr:cNvSpPr txBox="1"/>
      </xdr:nvSpPr>
      <xdr:spPr>
        <a:xfrm>
          <a:off x="12738100" y="2209800"/>
          <a:ext cx="2324100" cy="698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/>
            <a:t>Einsparungen</a:t>
          </a:r>
          <a:r>
            <a:rPr lang="de-DE" sz="1100" baseline="0"/>
            <a:t> beim EK führen oft schon zu größeren Ersparnissen als Gebühren für Lösung.</a:t>
          </a:r>
          <a:endParaRPr lang="de-D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savings.co2opt.com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A1565-E937-1C4A-A049-9852DFEEC918}">
  <dimension ref="A1:I23"/>
  <sheetViews>
    <sheetView zoomScale="125" workbookViewId="0">
      <selection activeCell="A2" sqref="A2"/>
    </sheetView>
  </sheetViews>
  <sheetFormatPr baseColWidth="10" defaultColWidth="11" defaultRowHeight="16" x14ac:dyDescent="0.2"/>
  <cols>
    <col min="2" max="2" width="60.33203125" bestFit="1" customWidth="1"/>
    <col min="3" max="3" width="15.33203125" style="11" bestFit="1" customWidth="1"/>
    <col min="4" max="4" width="14.33203125" bestFit="1" customWidth="1"/>
    <col min="5" max="5" width="4.1640625" bestFit="1" customWidth="1"/>
    <col min="7" max="7" width="28.33203125" bestFit="1" customWidth="1"/>
    <col min="9" max="9" width="16.6640625" bestFit="1" customWidth="1"/>
  </cols>
  <sheetData>
    <row r="1" spans="1:9" x14ac:dyDescent="0.2">
      <c r="A1" s="1" t="s">
        <v>0</v>
      </c>
      <c r="B1" s="1" t="s">
        <v>1</v>
      </c>
    </row>
    <row r="2" spans="1:9" x14ac:dyDescent="0.2">
      <c r="A2" s="7">
        <v>1</v>
      </c>
      <c r="B2" t="s">
        <v>2</v>
      </c>
      <c r="C2" s="11">
        <v>145</v>
      </c>
      <c r="G2" s="10" t="s">
        <v>3</v>
      </c>
      <c r="I2" s="2"/>
    </row>
    <row r="3" spans="1:9" x14ac:dyDescent="0.2">
      <c r="A3" s="7">
        <v>1</v>
      </c>
      <c r="B3" t="s">
        <v>4</v>
      </c>
      <c r="C3" s="11">
        <v>251</v>
      </c>
      <c r="I3" s="2"/>
    </row>
    <row r="4" spans="1:9" ht="17" thickBot="1" x14ac:dyDescent="0.25">
      <c r="A4" s="7">
        <v>1</v>
      </c>
      <c r="B4" t="s">
        <v>5</v>
      </c>
      <c r="C4" s="12">
        <v>90000</v>
      </c>
    </row>
    <row r="5" spans="1:9" x14ac:dyDescent="0.2">
      <c r="A5">
        <v>1</v>
      </c>
      <c r="B5" t="s">
        <v>6</v>
      </c>
      <c r="C5" s="11" t="s">
        <v>7</v>
      </c>
      <c r="D5" t="s">
        <v>8</v>
      </c>
      <c r="E5" t="s">
        <v>9</v>
      </c>
      <c r="F5" t="s">
        <v>10</v>
      </c>
      <c r="G5" s="13" t="s">
        <v>11</v>
      </c>
    </row>
    <row r="6" spans="1:9" x14ac:dyDescent="0.2">
      <c r="A6">
        <v>1</v>
      </c>
      <c r="B6" t="s">
        <v>12</v>
      </c>
      <c r="G6" s="14" t="s">
        <v>13</v>
      </c>
    </row>
    <row r="7" spans="1:9" x14ac:dyDescent="0.2">
      <c r="A7">
        <v>1</v>
      </c>
      <c r="B7" t="s">
        <v>14</v>
      </c>
      <c r="G7" s="14" t="s">
        <v>15</v>
      </c>
    </row>
    <row r="8" spans="1:9" x14ac:dyDescent="0.2">
      <c r="A8">
        <v>1</v>
      </c>
      <c r="B8" t="s">
        <v>16</v>
      </c>
      <c r="G8" s="14" t="s">
        <v>17</v>
      </c>
    </row>
    <row r="9" spans="1:9" x14ac:dyDescent="0.2">
      <c r="A9" s="7">
        <v>1</v>
      </c>
      <c r="B9" t="s">
        <v>18</v>
      </c>
      <c r="C9" s="11">
        <v>28</v>
      </c>
      <c r="G9" s="14" t="s">
        <v>19</v>
      </c>
    </row>
    <row r="10" spans="1:9" x14ac:dyDescent="0.2">
      <c r="A10">
        <v>2</v>
      </c>
      <c r="B10" t="s">
        <v>20</v>
      </c>
      <c r="G10" s="14" t="s">
        <v>21</v>
      </c>
    </row>
    <row r="11" spans="1:9" x14ac:dyDescent="0.2">
      <c r="A11">
        <v>2</v>
      </c>
      <c r="B11" t="s">
        <v>22</v>
      </c>
      <c r="G11" s="14" t="s">
        <v>56</v>
      </c>
    </row>
    <row r="12" spans="1:9" x14ac:dyDescent="0.2">
      <c r="A12">
        <v>2</v>
      </c>
      <c r="B12" t="s">
        <v>24</v>
      </c>
      <c r="G12" s="14" t="s">
        <v>57</v>
      </c>
    </row>
    <row r="13" spans="1:9" x14ac:dyDescent="0.2">
      <c r="A13">
        <v>2</v>
      </c>
      <c r="B13" t="s">
        <v>26</v>
      </c>
      <c r="G13" s="14" t="s">
        <v>58</v>
      </c>
    </row>
    <row r="14" spans="1:9" x14ac:dyDescent="0.2">
      <c r="A14">
        <v>2</v>
      </c>
      <c r="B14" t="s">
        <v>27</v>
      </c>
      <c r="G14" s="14" t="s">
        <v>23</v>
      </c>
    </row>
    <row r="15" spans="1:9" x14ac:dyDescent="0.2">
      <c r="A15">
        <v>2</v>
      </c>
      <c r="B15" t="s">
        <v>28</v>
      </c>
      <c r="G15" s="14" t="s">
        <v>25</v>
      </c>
    </row>
    <row r="16" spans="1:9" x14ac:dyDescent="0.2">
      <c r="A16">
        <v>2</v>
      </c>
      <c r="B16" t="s">
        <v>29</v>
      </c>
      <c r="G16" s="14" t="s">
        <v>63</v>
      </c>
    </row>
    <row r="17" spans="1:7" x14ac:dyDescent="0.2">
      <c r="A17">
        <v>2</v>
      </c>
      <c r="B17" t="s">
        <v>30</v>
      </c>
      <c r="G17" s="14" t="s">
        <v>64</v>
      </c>
    </row>
    <row r="18" spans="1:7" x14ac:dyDescent="0.2">
      <c r="A18">
        <v>2</v>
      </c>
      <c r="B18" t="s">
        <v>31</v>
      </c>
      <c r="G18" s="14" t="s">
        <v>65</v>
      </c>
    </row>
    <row r="19" spans="1:7" x14ac:dyDescent="0.2">
      <c r="A19">
        <v>3</v>
      </c>
      <c r="B19" t="s">
        <v>32</v>
      </c>
      <c r="G19" s="14" t="s">
        <v>59</v>
      </c>
    </row>
    <row r="20" spans="1:7" x14ac:dyDescent="0.2">
      <c r="A20">
        <v>3</v>
      </c>
      <c r="B20" t="s">
        <v>33</v>
      </c>
      <c r="G20" s="14" t="s">
        <v>60</v>
      </c>
    </row>
    <row r="21" spans="1:7" x14ac:dyDescent="0.2">
      <c r="A21">
        <v>3</v>
      </c>
      <c r="B21" t="s">
        <v>34</v>
      </c>
      <c r="G21" s="14" t="s">
        <v>61</v>
      </c>
    </row>
    <row r="22" spans="1:7" ht="17" thickBot="1" x14ac:dyDescent="0.25">
      <c r="A22">
        <v>3</v>
      </c>
      <c r="B22" t="s">
        <v>35</v>
      </c>
      <c r="G22" s="15" t="s">
        <v>62</v>
      </c>
    </row>
    <row r="23" spans="1:7" x14ac:dyDescent="0.2">
      <c r="A23">
        <v>3</v>
      </c>
      <c r="B23" t="s">
        <v>36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54D7B-1C2C-604A-A65A-082FF4C4C899}">
  <dimension ref="A1:M27"/>
  <sheetViews>
    <sheetView zoomScale="91" workbookViewId="0">
      <selection activeCell="G30" sqref="G30"/>
    </sheetView>
  </sheetViews>
  <sheetFormatPr baseColWidth="10" defaultColWidth="11" defaultRowHeight="16" x14ac:dyDescent="0.2"/>
  <cols>
    <col min="1" max="1" width="53.33203125" bestFit="1" customWidth="1"/>
    <col min="2" max="2" width="22.33203125" bestFit="1" customWidth="1"/>
    <col min="3" max="3" width="11.1640625" bestFit="1" customWidth="1"/>
    <col min="4" max="5" width="15.1640625" customWidth="1"/>
    <col min="6" max="6" width="15.33203125" bestFit="1" customWidth="1"/>
    <col min="7" max="10" width="13.1640625" bestFit="1" customWidth="1"/>
    <col min="11" max="12" width="14.5" bestFit="1" customWidth="1"/>
    <col min="13" max="13" width="13" bestFit="1" customWidth="1"/>
  </cols>
  <sheetData>
    <row r="1" spans="1:13" x14ac:dyDescent="0.2">
      <c r="B1" s="3" t="s">
        <v>76</v>
      </c>
    </row>
    <row r="2" spans="1:13" x14ac:dyDescent="0.2">
      <c r="A2" t="s">
        <v>37</v>
      </c>
      <c r="B2" s="42">
        <v>20</v>
      </c>
      <c r="C2" s="2">
        <f>B2*6</f>
        <v>120</v>
      </c>
    </row>
    <row r="3" spans="1:13" x14ac:dyDescent="0.2">
      <c r="A3" t="s">
        <v>38</v>
      </c>
      <c r="B3" s="4">
        <v>60</v>
      </c>
    </row>
    <row r="4" spans="1:13" x14ac:dyDescent="0.2">
      <c r="A4" t="s">
        <v>39</v>
      </c>
      <c r="B4" s="6">
        <f>Fragen!C4</f>
        <v>90000</v>
      </c>
    </row>
    <row r="5" spans="1:13" x14ac:dyDescent="0.2">
      <c r="A5" t="s">
        <v>40</v>
      </c>
      <c r="B5">
        <v>220</v>
      </c>
    </row>
    <row r="6" spans="1:13" x14ac:dyDescent="0.2">
      <c r="A6" t="s">
        <v>41</v>
      </c>
      <c r="B6">
        <f>Fragen!C9</f>
        <v>28</v>
      </c>
    </row>
    <row r="7" spans="1:13" x14ac:dyDescent="0.2">
      <c r="A7" t="s">
        <v>42</v>
      </c>
      <c r="B7" s="42">
        <v>1.5</v>
      </c>
    </row>
    <row r="8" spans="1:13" s="40" customFormat="1" ht="17" thickBot="1" x14ac:dyDescent="0.25">
      <c r="B8" s="5"/>
    </row>
    <row r="9" spans="1:13" x14ac:dyDescent="0.2">
      <c r="A9" s="20" t="s">
        <v>66</v>
      </c>
      <c r="B9" s="21"/>
      <c r="C9" s="21"/>
      <c r="D9" s="22">
        <v>0.01</v>
      </c>
      <c r="E9" s="22">
        <v>0.02</v>
      </c>
      <c r="F9" s="23">
        <v>0.03</v>
      </c>
      <c r="G9" s="22">
        <v>0.04</v>
      </c>
      <c r="H9" s="22">
        <v>0.05</v>
      </c>
      <c r="I9" s="22">
        <v>0.06</v>
      </c>
      <c r="J9" s="22">
        <v>7.0000000000000007E-2</v>
      </c>
      <c r="K9" s="22">
        <v>0.08</v>
      </c>
      <c r="L9" s="22">
        <v>0.09</v>
      </c>
      <c r="M9" s="24">
        <v>0.1</v>
      </c>
    </row>
    <row r="10" spans="1:13" x14ac:dyDescent="0.2">
      <c r="A10" s="25" t="s">
        <v>43</v>
      </c>
      <c r="B10" s="26"/>
      <c r="C10" s="27">
        <f>(C2+B3)</f>
        <v>180</v>
      </c>
      <c r="D10" s="26"/>
      <c r="E10" s="26"/>
      <c r="F10" s="53"/>
      <c r="G10" s="26"/>
      <c r="H10" s="26"/>
      <c r="I10" s="26"/>
      <c r="J10" s="26"/>
      <c r="K10" s="26"/>
      <c r="L10" s="26"/>
      <c r="M10" s="28"/>
    </row>
    <row r="11" spans="1:13" x14ac:dyDescent="0.2">
      <c r="A11" s="25" t="s">
        <v>44</v>
      </c>
      <c r="B11" s="26"/>
      <c r="C11" s="26"/>
      <c r="D11" s="29">
        <f>$B6*$B7*D9</f>
        <v>0.42</v>
      </c>
      <c r="E11" s="29">
        <f>$B6*$B7*E9</f>
        <v>0.84</v>
      </c>
      <c r="F11" s="54">
        <f>$B6*$B7*F9</f>
        <v>1.26</v>
      </c>
      <c r="G11" s="29">
        <f>$B6*$B7*G9</f>
        <v>1.68</v>
      </c>
      <c r="H11" s="29">
        <f>$B6*$B7*H9</f>
        <v>2.1</v>
      </c>
      <c r="I11" s="29">
        <f>$B6*$B7*I9</f>
        <v>2.52</v>
      </c>
      <c r="J11" s="29">
        <f>$B6*$B7*J9</f>
        <v>2.9400000000000004</v>
      </c>
      <c r="K11" s="29">
        <f>$B6*$B7*K9</f>
        <v>3.36</v>
      </c>
      <c r="L11" s="29">
        <f>$B6*$B7*L9</f>
        <v>3.78</v>
      </c>
      <c r="M11" s="30">
        <f>$B6*$B7*M9</f>
        <v>4.2</v>
      </c>
    </row>
    <row r="12" spans="1:13" x14ac:dyDescent="0.2">
      <c r="A12" s="25" t="s">
        <v>45</v>
      </c>
      <c r="B12" s="26"/>
      <c r="C12" s="26"/>
      <c r="D12" s="29">
        <f>($B4/$B5/100)*$B6*$B7*D9</f>
        <v>1.7181818181818183</v>
      </c>
      <c r="E12" s="29">
        <f>($B4/$B5/100)*$B6*$B7*E9</f>
        <v>3.4363636363636365</v>
      </c>
      <c r="F12" s="54">
        <f>($B4/$B5/100)*$B6*$B7*F9</f>
        <v>5.1545454545454543</v>
      </c>
      <c r="G12" s="29">
        <f>($B4/$B5/100)*$B6*$B7*G9</f>
        <v>6.872727272727273</v>
      </c>
      <c r="H12" s="29">
        <f>($B4/$B5/100)*$B6*$B7*H9</f>
        <v>8.5909090909090917</v>
      </c>
      <c r="I12" s="29">
        <f>($B4/$B5/100)*$B6*$B7*I9</f>
        <v>10.309090909090909</v>
      </c>
      <c r="J12" s="29">
        <f>($B4/$B5/100)*$B6*$B7*J9</f>
        <v>12.027272727272727</v>
      </c>
      <c r="K12" s="29">
        <f>($B4/$B5/100)*$B6*$B7*K9</f>
        <v>13.745454545454546</v>
      </c>
      <c r="L12" s="29">
        <f>($B4/$B5/100)*$B6*$B7*L9</f>
        <v>15.463636363636363</v>
      </c>
      <c r="M12" s="30">
        <f>($B4/$B5/100)*$B6*$B7*M9</f>
        <v>17.181818181818183</v>
      </c>
    </row>
    <row r="13" spans="1:13" x14ac:dyDescent="0.2">
      <c r="A13" s="25" t="s">
        <v>46</v>
      </c>
      <c r="B13" s="26"/>
      <c r="C13" s="26"/>
      <c r="D13" s="31">
        <f>$C10/D11*100</f>
        <v>42857.142857142862</v>
      </c>
      <c r="E13" s="31">
        <f t="shared" ref="E13:M13" si="0">$C10/E11*100</f>
        <v>21428.571428571431</v>
      </c>
      <c r="F13" s="55">
        <f t="shared" si="0"/>
        <v>14285.714285714286</v>
      </c>
      <c r="G13" s="31">
        <f t="shared" si="0"/>
        <v>10714.285714285716</v>
      </c>
      <c r="H13" s="31">
        <f t="shared" si="0"/>
        <v>8571.4285714285706</v>
      </c>
      <c r="I13" s="31">
        <f t="shared" si="0"/>
        <v>7142.8571428571431</v>
      </c>
      <c r="J13" s="31">
        <f t="shared" si="0"/>
        <v>6122.4489795918362</v>
      </c>
      <c r="K13" s="31">
        <f>$C10/K11*100</f>
        <v>5357.1428571428578</v>
      </c>
      <c r="L13" s="31">
        <f t="shared" si="0"/>
        <v>4761.9047619047624</v>
      </c>
      <c r="M13" s="32">
        <f t="shared" si="0"/>
        <v>4285.7142857142853</v>
      </c>
    </row>
    <row r="14" spans="1:13" ht="19" x14ac:dyDescent="0.25">
      <c r="A14" s="25" t="s">
        <v>47</v>
      </c>
      <c r="B14" s="33"/>
      <c r="C14" s="26"/>
      <c r="D14" s="34">
        <f>$C10/D12</f>
        <v>104.76190476190476</v>
      </c>
      <c r="E14" s="34">
        <f t="shared" ref="E14:M14" si="1">$C10/E12</f>
        <v>52.38095238095238</v>
      </c>
      <c r="F14" s="56">
        <f t="shared" si="1"/>
        <v>34.920634920634924</v>
      </c>
      <c r="G14" s="34">
        <f t="shared" si="1"/>
        <v>26.19047619047619</v>
      </c>
      <c r="H14" s="34">
        <f t="shared" si="1"/>
        <v>20.952380952380949</v>
      </c>
      <c r="I14" s="34">
        <f t="shared" si="1"/>
        <v>17.460317460317462</v>
      </c>
      <c r="J14" s="34">
        <f t="shared" si="1"/>
        <v>14.965986394557824</v>
      </c>
      <c r="K14" s="34">
        <f t="shared" si="1"/>
        <v>13.095238095238095</v>
      </c>
      <c r="L14" s="34">
        <f t="shared" si="1"/>
        <v>11.640211640211641</v>
      </c>
      <c r="M14" s="35">
        <f t="shared" si="1"/>
        <v>10.476190476190474</v>
      </c>
    </row>
    <row r="15" spans="1:13" ht="17" thickBot="1" x14ac:dyDescent="0.25">
      <c r="A15" s="36" t="s">
        <v>48</v>
      </c>
      <c r="B15" s="37"/>
      <c r="C15" s="37"/>
      <c r="D15" s="38">
        <f>D14/18.3</f>
        <v>5.7246942492844131</v>
      </c>
      <c r="E15" s="38">
        <f t="shared" ref="E15:M15" si="2">E14/18.3</f>
        <v>2.8623471246422065</v>
      </c>
      <c r="F15" s="57">
        <f t="shared" si="2"/>
        <v>1.908231416428138</v>
      </c>
      <c r="G15" s="38">
        <f t="shared" si="2"/>
        <v>1.4311735623211033</v>
      </c>
      <c r="H15" s="38">
        <f t="shared" si="2"/>
        <v>1.1449388498568824</v>
      </c>
      <c r="I15" s="38">
        <f t="shared" si="2"/>
        <v>0.95411570821406899</v>
      </c>
      <c r="J15" s="38">
        <f t="shared" si="2"/>
        <v>0.81781346418348766</v>
      </c>
      <c r="K15" s="38">
        <f t="shared" si="2"/>
        <v>0.71558678116055163</v>
      </c>
      <c r="L15" s="38">
        <f t="shared" si="2"/>
        <v>0.63607713880937922</v>
      </c>
      <c r="M15" s="39">
        <f t="shared" si="2"/>
        <v>0.57246942492844122</v>
      </c>
    </row>
    <row r="16" spans="1:13" x14ac:dyDescent="0.2">
      <c r="F16" s="1"/>
    </row>
    <row r="17" spans="1:13" x14ac:dyDescent="0.2">
      <c r="F17" s="1"/>
    </row>
    <row r="18" spans="1:13" x14ac:dyDescent="0.2">
      <c r="F18" s="1"/>
    </row>
    <row r="19" spans="1:13" s="43" customFormat="1" ht="17" customHeight="1" x14ac:dyDescent="0.2">
      <c r="A19" s="43" t="s">
        <v>50</v>
      </c>
      <c r="D19" s="51">
        <f>D12*$B$5*Fragen!$C$2</f>
        <v>54810</v>
      </c>
      <c r="E19" s="51">
        <f>E12*$B$5*Fragen!$C$2</f>
        <v>109620</v>
      </c>
      <c r="F19" s="52">
        <f>F12*$B$5*Fragen!$C$2</f>
        <v>164430</v>
      </c>
      <c r="G19" s="51">
        <f>G12*$B$5*Fragen!$C$2</f>
        <v>219240</v>
      </c>
      <c r="H19" s="51">
        <f>H12*$B$5*Fragen!$C$2</f>
        <v>274050.00000000006</v>
      </c>
      <c r="I19" s="51">
        <f>I12*$B$5*Fragen!$C$2</f>
        <v>328860</v>
      </c>
      <c r="J19" s="51">
        <f>J12*$B$5*Fragen!$C$2</f>
        <v>383670</v>
      </c>
      <c r="K19" s="51">
        <f>K12*$B$5*Fragen!$C$2</f>
        <v>438480</v>
      </c>
      <c r="L19" s="51">
        <f>L12*$B$5*Fragen!$C$2</f>
        <v>493290</v>
      </c>
      <c r="M19" s="51">
        <f>M12*$B$5*Fragen!$C$2</f>
        <v>548100.00000000012</v>
      </c>
    </row>
    <row r="20" spans="1:13" s="43" customFormat="1" ht="17" customHeight="1" thickBot="1" x14ac:dyDescent="0.25">
      <c r="A20" s="43" t="s">
        <v>51</v>
      </c>
      <c r="D20" s="44">
        <f>$B$4/100*$B$6*2.64*D$9*Fragen!$C$2/1000</f>
        <v>96.465599999999995</v>
      </c>
      <c r="E20" s="44">
        <f>$B$4/100*$B$6*2.64*E$9*Fragen!$C$2/1000</f>
        <v>192.93119999999999</v>
      </c>
      <c r="F20" s="58">
        <f>$B$4/100*$B$6*2.64*F$9*Fragen!$C$2/1000</f>
        <v>289.39679999999998</v>
      </c>
      <c r="G20" s="44">
        <f>$B$4/100*$B$6*2.64*G$9*Fragen!$C$2/1000</f>
        <v>385.86239999999998</v>
      </c>
      <c r="H20" s="44">
        <f>$B$4/100*$B$6*2.64*H$9*Fragen!$C$2/1000</f>
        <v>482.32799999999997</v>
      </c>
      <c r="I20" s="44">
        <f>$B$4/100*$B$6*2.64*I$9*Fragen!$C$2/1000</f>
        <v>578.79359999999997</v>
      </c>
      <c r="J20" s="44">
        <f>$B$4/100*$B$6*2.64*J$9*Fragen!$C$2/1000</f>
        <v>675.25919999999996</v>
      </c>
      <c r="K20" s="44">
        <f>$B$4/100*$B$6*2.64*K$9*Fragen!$C$2/1000</f>
        <v>771.72479999999996</v>
      </c>
      <c r="L20" s="44">
        <f>$B$4/100*$B$6*2.64*L$9*Fragen!$C$2/1000</f>
        <v>868.19039999999995</v>
      </c>
      <c r="M20" s="44">
        <f>$B$4/100*$B$6*2.64*M$9*Fragen!$C$2/1000</f>
        <v>964.65599999999995</v>
      </c>
    </row>
    <row r="21" spans="1:13" s="40" customFormat="1" ht="17" customHeight="1" x14ac:dyDescent="0.2">
      <c r="A21" s="45" t="s">
        <v>49</v>
      </c>
      <c r="B21" s="49">
        <f>(B4/100)*B7*B6*Fragen!C2</f>
        <v>5481000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</row>
    <row r="22" spans="1:13" x14ac:dyDescent="0.2">
      <c r="A22" s="46" t="s">
        <v>52</v>
      </c>
      <c r="B22" s="50">
        <f>B21*0.035</f>
        <v>191835.00000000003</v>
      </c>
    </row>
    <row r="23" spans="1:13" ht="17" thickBot="1" x14ac:dyDescent="0.25">
      <c r="A23" s="47" t="s">
        <v>53</v>
      </c>
      <c r="B23" s="48">
        <f>B3*Fragen!C2</f>
        <v>8700</v>
      </c>
    </row>
    <row r="24" spans="1:13" x14ac:dyDescent="0.2">
      <c r="B24" s="8">
        <f>B23/B22</f>
        <v>4.5351473922902487E-2</v>
      </c>
    </row>
    <row r="25" spans="1:13" x14ac:dyDescent="0.2">
      <c r="A25" s="9" t="s">
        <v>54</v>
      </c>
    </row>
    <row r="27" spans="1:13" x14ac:dyDescent="0.2">
      <c r="A27" s="16" t="s">
        <v>55</v>
      </c>
    </row>
  </sheetData>
  <hyperlinks>
    <hyperlink ref="A27" r:id="rId1" xr:uid="{F168E38E-A0D2-B845-9CC4-6BB150741A59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7C60D-4C59-5348-B13F-970ECA47423E}">
  <dimension ref="A1:D10"/>
  <sheetViews>
    <sheetView tabSelected="1" workbookViewId="0">
      <selection activeCell="Q26" sqref="Q26"/>
    </sheetView>
  </sheetViews>
  <sheetFormatPr baseColWidth="10" defaultRowHeight="16" x14ac:dyDescent="0.2"/>
  <cols>
    <col min="1" max="1" width="48.33203125" bestFit="1" customWidth="1"/>
    <col min="2" max="2" width="15.6640625" bestFit="1" customWidth="1"/>
    <col min="3" max="3" width="14.5" bestFit="1" customWidth="1"/>
  </cols>
  <sheetData>
    <row r="1" spans="1:4" x14ac:dyDescent="0.2">
      <c r="A1" s="19">
        <v>0.03</v>
      </c>
      <c r="B1" t="s">
        <v>72</v>
      </c>
    </row>
    <row r="2" spans="1:4" x14ac:dyDescent="0.2">
      <c r="A2" t="s">
        <v>67</v>
      </c>
      <c r="B2" s="17">
        <f>'ROI Rechner'!B21</f>
        <v>5481000</v>
      </c>
    </row>
    <row r="3" spans="1:4" x14ac:dyDescent="0.2">
      <c r="A3" t="s">
        <v>52</v>
      </c>
      <c r="B3" s="17">
        <f>'ROI Rechner'!B22</f>
        <v>191835.00000000003</v>
      </c>
    </row>
    <row r="4" spans="1:4" x14ac:dyDescent="0.2">
      <c r="A4" t="s">
        <v>71</v>
      </c>
      <c r="B4" s="17">
        <f>B3*0.2</f>
        <v>38367.000000000007</v>
      </c>
    </row>
    <row r="5" spans="1:4" x14ac:dyDescent="0.2">
      <c r="A5" t="s">
        <v>74</v>
      </c>
      <c r="B5" s="17">
        <f>SUMPRODUCT(B2:B4)</f>
        <v>5711202</v>
      </c>
    </row>
    <row r="6" spans="1:4" x14ac:dyDescent="0.2">
      <c r="A6" t="s">
        <v>68</v>
      </c>
      <c r="B6" s="18">
        <f>'ROI Rechner'!F19*-1</f>
        <v>-164430</v>
      </c>
    </row>
    <row r="7" spans="1:4" x14ac:dyDescent="0.2">
      <c r="A7" t="s">
        <v>69</v>
      </c>
      <c r="B7" s="18">
        <f>B3*0.05*-1</f>
        <v>-9591.7500000000018</v>
      </c>
    </row>
    <row r="8" spans="1:4" x14ac:dyDescent="0.2">
      <c r="A8" t="s">
        <v>70</v>
      </c>
      <c r="B8" s="18">
        <f>B4*0.05*-1</f>
        <v>-1918.3500000000004</v>
      </c>
    </row>
    <row r="9" spans="1:4" x14ac:dyDescent="0.2">
      <c r="A9" t="s">
        <v>73</v>
      </c>
      <c r="B9" s="4">
        <f>'ROI Rechner'!B23</f>
        <v>8700</v>
      </c>
      <c r="C9" s="2">
        <f>SUMPRODUCT(B6:B8)</f>
        <v>-175940.1</v>
      </c>
    </row>
    <row r="10" spans="1:4" x14ac:dyDescent="0.2">
      <c r="A10" t="s">
        <v>75</v>
      </c>
      <c r="B10" s="18">
        <f>B5+C9</f>
        <v>5535261.9000000004</v>
      </c>
      <c r="D10">
        <f>B9/C9</f>
        <v>-4.9448647579488698E-2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Fragen</vt:lpstr>
      <vt:lpstr>ROI Rechner</vt:lpstr>
      <vt:lpstr>Wasserfall Graph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Benjamin Bartsch</dc:creator>
  <cp:keywords/>
  <dc:description/>
  <cp:lastModifiedBy>Benjamin Bartsch</cp:lastModifiedBy>
  <cp:revision/>
  <dcterms:created xsi:type="dcterms:W3CDTF">2023-01-12T10:57:43Z</dcterms:created>
  <dcterms:modified xsi:type="dcterms:W3CDTF">2026-02-20T11:33:49Z</dcterms:modified>
  <cp:category/>
  <cp:contentStatus/>
</cp:coreProperties>
</file>